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7500" activeTab="1"/>
  </bookViews>
  <sheets>
    <sheet name="Notes" sheetId="1" r:id="rId1"/>
    <sheet name="Solar" sheetId="2" r:id="rId2"/>
  </sheets>
  <definedNames>
    <definedName name="OLE_LINK1" localSheetId="0">'Notes'!$B$5</definedName>
  </definedNames>
  <calcPr fullCalcOnLoad="1"/>
</workbook>
</file>

<file path=xl/sharedStrings.xml><?xml version="1.0" encoding="utf-8"?>
<sst xmlns="http://schemas.openxmlformats.org/spreadsheetml/2006/main" count="95" uniqueCount="79">
  <si>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</si>
  <si>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</si>
  <si>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</si>
  <si>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</si>
  <si>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</si>
  <si>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</si>
  <si>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</si>
  <si>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</si>
  <si>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</si>
  <si>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</si>
  <si>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</si>
  <si>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</si>
  <si>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</si>
  <si>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</si>
  <si>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Assumptions</t>
  </si>
  <si>
    <t>Radio</t>
  </si>
  <si>
    <t>Fridge</t>
  </si>
  <si>
    <t>Lights</t>
  </si>
  <si>
    <t>DVD</t>
  </si>
  <si>
    <t>TV</t>
  </si>
  <si>
    <t>Other</t>
  </si>
  <si>
    <t>Assumed Sun Hours per day</t>
  </si>
  <si>
    <t xml:space="preserve">  Battery SOC at end of day</t>
  </si>
  <si>
    <t>Minimum allowable SOC</t>
  </si>
  <si>
    <t xml:space="preserve">  Solar panel output (AH)</t>
  </si>
  <si>
    <t xml:space="preserve">  Drawdown (AH)</t>
  </si>
  <si>
    <t>Power required (AH)</t>
  </si>
  <si>
    <t>Shortfall (AH)</t>
  </si>
  <si>
    <t>Power available (AH)</t>
  </si>
  <si>
    <t>Day</t>
  </si>
  <si>
    <t>Night</t>
  </si>
  <si>
    <t xml:space="preserve">    Fridge</t>
  </si>
  <si>
    <t xml:space="preserve">    Other</t>
  </si>
  <si>
    <t xml:space="preserve">    Lights</t>
  </si>
  <si>
    <t>Day/Night Usage</t>
  </si>
  <si>
    <t>Daily Usage</t>
  </si>
  <si>
    <t>Average amps</t>
  </si>
  <si>
    <t>Approx hours per day</t>
  </si>
  <si>
    <t>Approx total Watt Hours</t>
  </si>
  <si>
    <t>Approx total Amp Hours</t>
  </si>
  <si>
    <t>Radio, DVD, TV</t>
  </si>
  <si>
    <t xml:space="preserve">    Radio, DVD, TV</t>
  </si>
  <si>
    <t>Remaining capacity at minimum SOC (AH)</t>
  </si>
  <si>
    <t xml:space="preserve">  Available battery power (AH)</t>
  </si>
  <si>
    <t xml:space="preserve">  Available power (AH) at minimum SOC</t>
  </si>
  <si>
    <t xml:space="preserve">  Battery power (AH)</t>
  </si>
  <si>
    <t xml:space="preserve">  Total available power(AH)</t>
  </si>
  <si>
    <t xml:space="preserve">      Total drawdown</t>
  </si>
  <si>
    <t xml:space="preserve">  Shortfall (AH)</t>
  </si>
  <si>
    <t xml:space="preserve">  Battery power at end of day (AH)</t>
  </si>
  <si>
    <t xml:space="preserve">  Battery state of charge at start of day</t>
  </si>
  <si>
    <t>Summary</t>
  </si>
  <si>
    <t xml:space="preserve">  Solar</t>
  </si>
  <si>
    <t xml:space="preserve">  Battery</t>
  </si>
  <si>
    <t xml:space="preserve">  Total</t>
  </si>
  <si>
    <t>Estimated system losses</t>
  </si>
  <si>
    <t xml:space="preserve">    (incl system losses)</t>
  </si>
  <si>
    <t xml:space="preserve">  Battery SOC</t>
  </si>
  <si>
    <t>Rest voltage</t>
  </si>
  <si>
    <t>SOC</t>
  </si>
  <si>
    <t>Read the notes first</t>
  </si>
  <si>
    <t xml:space="preserve">  Surplus solar power to battery (AH)</t>
  </si>
  <si>
    <t>Wet standard or wet low maintenance</t>
  </si>
  <si>
    <t>Wet "maintenance free" or AGM/Gell cell</t>
  </si>
  <si>
    <t>Battery state of charge (at 27 degrees C)</t>
  </si>
  <si>
    <t>Data taken from table on this web site http://www.uuhome.de/william.darden/</t>
  </si>
  <si>
    <r>
      <t>Available power</t>
    </r>
    <r>
      <rPr>
        <sz val="12"/>
        <rFont val="Arial"/>
        <family val="2"/>
      </rPr>
      <t xml:space="preserve"> - </t>
    </r>
    <r>
      <rPr>
        <b/>
        <sz val="12"/>
        <color indexed="17"/>
        <rFont val="Arial"/>
        <family val="2"/>
      </rPr>
      <t>sufficient</t>
    </r>
    <r>
      <rPr>
        <b/>
        <sz val="12"/>
        <rFont val="Arial"/>
        <family val="2"/>
      </rPr>
      <t>,</t>
    </r>
    <r>
      <rPr>
        <b/>
        <sz val="12"/>
        <color indexed="52"/>
        <rFont val="Arial"/>
        <family val="2"/>
      </rPr>
      <t xml:space="preserve"> insufficient</t>
    </r>
    <r>
      <rPr>
        <b/>
        <sz val="12"/>
        <rFont val="Arial"/>
        <family val="2"/>
      </rPr>
      <t>,</t>
    </r>
    <r>
      <rPr>
        <b/>
        <sz val="12"/>
        <color indexed="10"/>
        <rFont val="Arial"/>
        <family val="2"/>
      </rPr>
      <t xml:space="preserve"> none</t>
    </r>
  </si>
  <si>
    <t>Notes</t>
  </si>
  <si>
    <t>Battery capacity (amphours,AH)</t>
  </si>
  <si>
    <t>Initial state</t>
  </si>
  <si>
    <t xml:space="preserve">  State of charge (SOC) is</t>
  </si>
  <si>
    <t xml:space="preserve">  Available capacity at min. SOC (AH)</t>
  </si>
  <si>
    <t>Battery</t>
  </si>
  <si>
    <t>Solar Panels</t>
  </si>
  <si>
    <t xml:space="preserve">  Nominal capacity (Watts)</t>
  </si>
  <si>
    <t xml:space="preserve">  Panel efficiency</t>
  </si>
  <si>
    <t xml:space="preserve">  Actual output ( Watts)</t>
  </si>
  <si>
    <t xml:space="preserve">http://www.campertrailers.org/solar_spreadsheet.htm </t>
  </si>
  <si>
    <t>spread sheet by Richard Graylin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</si>
</sst>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11">
    <font>
      <sz val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b/>
      <sz val="12"/>
      <color indexed="5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u val="single"/>
      <sz val="12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164" fontId="0" fillId="2" borderId="1" xfId="0" applyNumberFormat="1" applyFill="1" applyBorder="1" applyAlignment="1">
      <alignment/>
    </xf>
    <xf numFmtId="1" fontId="3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164" fontId="0" fillId="2" borderId="1" xfId="0" applyNumberForma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8" fillId="0" borderId="0" xfId="0" applyFont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" fontId="0" fillId="3" borderId="0" xfId="0" applyNumberFormat="1" applyFill="1" applyBorder="1" applyAlignment="1">
      <alignment horizontal="right"/>
    </xf>
    <xf numFmtId="9" fontId="0" fillId="3" borderId="3" xfId="0" applyNumberFormat="1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 horizontal="right"/>
    </xf>
    <xf numFmtId="9" fontId="0" fillId="3" borderId="6" xfId="0" applyNumberFormat="1" applyFill="1" applyBorder="1" applyAlignment="1">
      <alignment horizontal="center"/>
    </xf>
    <xf numFmtId="0" fontId="3" fillId="3" borderId="7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1" fontId="0" fillId="3" borderId="0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/>
    </xf>
    <xf numFmtId="1" fontId="0" fillId="3" borderId="2" xfId="0" applyNumberFormat="1" applyFill="1" applyBorder="1" applyAlignment="1">
      <alignment/>
    </xf>
    <xf numFmtId="1" fontId="0" fillId="3" borderId="3" xfId="0" applyNumberFormat="1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3" borderId="7" xfId="0" applyFill="1" applyBorder="1" applyAlignment="1">
      <alignment/>
    </xf>
    <xf numFmtId="0" fontId="3" fillId="3" borderId="8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2" fontId="0" fillId="3" borderId="0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9" fontId="0" fillId="3" borderId="0" xfId="0" applyNumberFormat="1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5" xfId="0" applyFill="1" applyBorder="1" applyAlignment="1">
      <alignment horizontal="center"/>
    </xf>
    <xf numFmtId="9" fontId="0" fillId="3" borderId="5" xfId="0" applyNumberFormat="1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6" fillId="0" borderId="0" xfId="0" applyFont="1" applyAlignment="1">
      <alignment/>
    </xf>
    <xf numFmtId="0" fontId="9" fillId="3" borderId="2" xfId="0" applyFont="1" applyFill="1" applyBorder="1" applyAlignment="1">
      <alignment/>
    </xf>
    <xf numFmtId="1" fontId="0" fillId="2" borderId="10" xfId="0" applyNumberFormat="1" applyFill="1" applyBorder="1" applyAlignment="1">
      <alignment horizontal="center"/>
    </xf>
    <xf numFmtId="9" fontId="0" fillId="2" borderId="11" xfId="0" applyNumberFormat="1" applyFill="1" applyBorder="1" applyAlignment="1">
      <alignment horizontal="center"/>
    </xf>
    <xf numFmtId="0" fontId="10" fillId="0" borderId="0" xfId="2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b/>
        <i val="0"/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2</xdr:row>
      <xdr:rowOff>19050</xdr:rowOff>
    </xdr:from>
    <xdr:to>
      <xdr:col>19</xdr:col>
      <xdr:colOff>28575</xdr:colOff>
      <xdr:row>49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61950"/>
          <a:ext cx="9782175" cy="6715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466725</xdr:colOff>
      <xdr:row>61</xdr:row>
      <xdr:rowOff>9525</xdr:rowOff>
    </xdr:from>
    <xdr:to>
      <xdr:col>14</xdr:col>
      <xdr:colOff>142875</xdr:colOff>
      <xdr:row>64</xdr:row>
      <xdr:rowOff>38100</xdr:rowOff>
    </xdr:to>
    <xdr:pic>
      <xdr:nvPicPr>
        <xdr:cNvPr id="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010650"/>
          <a:ext cx="3409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ampertrailers.org/solar_spreadsheet.htm" TargetMode="External" /><Relationship Id="rId2" Type="http://schemas.openxmlformats.org/officeDocument/2006/relationships/hyperlink" Target="http://www.campertrailers.org/solar_spreadsheet.htm" TargetMode="External" /><Relationship Id="rId3" Type="http://schemas.openxmlformats.org/officeDocument/2006/relationships/hyperlink" Target="http://www.campertrailers.org/solar_spreadsheet.htm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showGridLines="0" workbookViewId="0" topLeftCell="A1">
      <selection activeCell="D1" sqref="D1"/>
    </sheetView>
  </sheetViews>
  <sheetFormatPr defaultColWidth="9.33203125" defaultRowHeight="11.25"/>
  <sheetData>
    <row r="1" ht="15.75">
      <c r="A1" s="45" t="s">
        <v>67</v>
      </c>
    </row>
    <row r="3" ht="11.25">
      <c r="B3" s="3"/>
    </row>
    <row r="4" ht="11.25">
      <c r="B4" s="1"/>
    </row>
    <row r="5" ht="11.25">
      <c r="B5" s="3"/>
    </row>
    <row r="6" ht="11.25">
      <c r="B6" s="3"/>
    </row>
    <row r="7" ht="11.25">
      <c r="B7" s="3"/>
    </row>
    <row r="8" ht="11.25">
      <c r="B8" s="1"/>
    </row>
    <row r="9" ht="11.25">
      <c r="B9" s="3"/>
    </row>
    <row r="10" spans="3:16" ht="11.2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2" spans="3:16" ht="11.2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4" spans="3:16" ht="11.2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="3" customFormat="1" ht="11.25"/>
    <row r="16" s="3" customFormat="1" ht="11.25"/>
    <row r="17" s="3" customFormat="1" ht="11.25"/>
    <row r="18" s="3" customFormat="1" ht="11.25"/>
    <row r="19" s="3" customFormat="1" ht="11.25"/>
    <row r="20" s="3" customFormat="1" ht="11.25"/>
    <row r="21" s="3" customFormat="1" ht="11.25"/>
    <row r="22" spans="3:16" ht="11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4" spans="1:16" ht="11.25">
      <c r="A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ht="11.25">
      <c r="A25" s="3"/>
    </row>
    <row r="26" spans="1:16" ht="11.25">
      <c r="A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ht="11.25">
      <c r="A27" s="3"/>
    </row>
    <row r="28" ht="11.25">
      <c r="A28" s="3"/>
    </row>
    <row r="31" s="2" customFormat="1" ht="11.25"/>
    <row r="32" s="2" customFormat="1" ht="11.25"/>
    <row r="33" s="3" customFormat="1" ht="11.25"/>
    <row r="35" s="2" customFormat="1" ht="11.25"/>
    <row r="36" s="2" customFormat="1" ht="11.25"/>
    <row r="37" s="3" customFormat="1" ht="11.25"/>
    <row r="39" s="2" customFormat="1" ht="11.25"/>
    <row r="40" s="2" customFormat="1" ht="11.25"/>
    <row r="41" s="3" customFormat="1" ht="11.25"/>
    <row r="43" s="2" customFormat="1" ht="11.25"/>
    <row r="44" s="2" customFormat="1" ht="11.25"/>
    <row r="45" s="3" customFormat="1" ht="11.25"/>
    <row r="47" s="2" customFormat="1" ht="11.25"/>
    <row r="48" s="2" customFormat="1" ht="11.25"/>
    <row r="49" s="3" customFormat="1" ht="11.25"/>
    <row r="51" s="2" customFormat="1" ht="11.25"/>
    <row r="52" s="2" customFormat="1" ht="11.25"/>
    <row r="53" s="3" customFormat="1" ht="11.25"/>
    <row r="55" s="3" customFormat="1" ht="11.25"/>
    <row r="56" s="3" customFormat="1" ht="11.25"/>
    <row r="57" s="3" customFormat="1" ht="11.25"/>
    <row r="60" s="3" customFormat="1" ht="11.25"/>
    <row r="61" s="2" customFormat="1" ht="11.25"/>
    <row r="62" s="3" customFormat="1" ht="11.25"/>
    <row r="63" s="3" customFormat="1" ht="11.25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3"/>
  <sheetViews>
    <sheetView tabSelected="1" workbookViewId="0" topLeftCell="A1">
      <selection activeCell="F2" sqref="A2:F2"/>
    </sheetView>
  </sheetViews>
  <sheetFormatPr defaultColWidth="9.33203125" defaultRowHeight="11.25"/>
  <cols>
    <col min="1" max="1" width="35.33203125" style="0" customWidth="1"/>
    <col min="2" max="2" width="6.33203125" style="0" customWidth="1"/>
  </cols>
  <sheetData>
    <row r="1" ht="15.75">
      <c r="A1" s="12" t="s">
        <v>60</v>
      </c>
    </row>
    <row r="2" spans="1:6" ht="15">
      <c r="A2" s="49" t="s">
        <v>77</v>
      </c>
      <c r="B2" s="49"/>
      <c r="C2" s="49"/>
      <c r="D2" s="49"/>
      <c r="E2" s="49"/>
      <c r="F2" s="49"/>
    </row>
    <row r="3" spans="1:16" ht="12.75">
      <c r="A3" s="23" t="s">
        <v>14</v>
      </c>
      <c r="B3" s="25"/>
      <c r="D3" s="23" t="s">
        <v>35</v>
      </c>
      <c r="E3" s="24"/>
      <c r="F3" s="24"/>
      <c r="G3" s="42" t="s">
        <v>16</v>
      </c>
      <c r="H3" s="42" t="s">
        <v>17</v>
      </c>
      <c r="I3" s="43" t="s">
        <v>15</v>
      </c>
      <c r="J3" s="43" t="s">
        <v>18</v>
      </c>
      <c r="K3" s="43" t="s">
        <v>19</v>
      </c>
      <c r="L3" s="44" t="s">
        <v>20</v>
      </c>
      <c r="M3" s="53" t="s">
        <v>34</v>
      </c>
      <c r="N3" s="54"/>
      <c r="O3" s="54"/>
      <c r="P3" s="55"/>
    </row>
    <row r="4" spans="1:16" ht="11.25">
      <c r="A4" s="46" t="s">
        <v>72</v>
      </c>
      <c r="B4" s="39"/>
      <c r="C4" s="1"/>
      <c r="D4" s="27" t="s">
        <v>36</v>
      </c>
      <c r="E4" s="14"/>
      <c r="F4" s="14"/>
      <c r="G4" s="10">
        <v>2</v>
      </c>
      <c r="H4" s="10">
        <v>1</v>
      </c>
      <c r="I4" s="10"/>
      <c r="J4" s="10"/>
      <c r="K4" s="10"/>
      <c r="L4" s="10"/>
      <c r="M4" s="13"/>
      <c r="N4" s="14"/>
      <c r="O4" s="15" t="s">
        <v>29</v>
      </c>
      <c r="P4" s="16" t="s">
        <v>30</v>
      </c>
    </row>
    <row r="5" spans="1:16" ht="11.25">
      <c r="A5" s="13" t="s">
        <v>68</v>
      </c>
      <c r="B5" s="47">
        <v>55</v>
      </c>
      <c r="C5" s="3"/>
      <c r="D5" s="27" t="s">
        <v>37</v>
      </c>
      <c r="E5" s="14"/>
      <c r="F5" s="14"/>
      <c r="G5" s="10">
        <v>8</v>
      </c>
      <c r="H5" s="10">
        <v>3</v>
      </c>
      <c r="I5" s="10"/>
      <c r="J5" s="10"/>
      <c r="K5" s="10"/>
      <c r="L5" s="10"/>
      <c r="M5" s="13"/>
      <c r="N5" s="17" t="s">
        <v>31</v>
      </c>
      <c r="O5" s="11">
        <v>0.75</v>
      </c>
      <c r="P5" s="18">
        <f>1-O5</f>
        <v>0.25</v>
      </c>
    </row>
    <row r="6" spans="1:16" ht="11.25">
      <c r="A6" s="13" t="s">
        <v>23</v>
      </c>
      <c r="B6" s="48">
        <v>0.5</v>
      </c>
      <c r="C6" s="1"/>
      <c r="D6" s="28" t="s">
        <v>38</v>
      </c>
      <c r="E6" s="14"/>
      <c r="F6" s="14"/>
      <c r="G6" s="26">
        <f aca="true" t="shared" si="0" ref="G6:L6">G4*12*G5</f>
        <v>192</v>
      </c>
      <c r="H6" s="26">
        <f t="shared" si="0"/>
        <v>36</v>
      </c>
      <c r="I6" s="26">
        <f t="shared" si="0"/>
        <v>0</v>
      </c>
      <c r="J6" s="26">
        <f t="shared" si="0"/>
        <v>0</v>
      </c>
      <c r="K6" s="26">
        <f t="shared" si="0"/>
        <v>0</v>
      </c>
      <c r="L6" s="29">
        <f t="shared" si="0"/>
        <v>0</v>
      </c>
      <c r="M6" s="13"/>
      <c r="N6" s="17" t="s">
        <v>33</v>
      </c>
      <c r="O6" s="11">
        <v>0</v>
      </c>
      <c r="P6" s="18">
        <f>1-O6</f>
        <v>1</v>
      </c>
    </row>
    <row r="7" spans="1:16" ht="11.25">
      <c r="A7" s="13" t="s">
        <v>42</v>
      </c>
      <c r="B7" s="29">
        <f>B5*B6</f>
        <v>27.5</v>
      </c>
      <c r="C7" s="3"/>
      <c r="D7" s="28" t="s">
        <v>39</v>
      </c>
      <c r="E7" s="14"/>
      <c r="F7" s="14"/>
      <c r="G7" s="26">
        <f aca="true" t="shared" si="1" ref="G7:L7">G6/12/(1-$B16)</f>
        <v>17.77777777777778</v>
      </c>
      <c r="H7" s="26">
        <f t="shared" si="1"/>
        <v>3.333333333333333</v>
      </c>
      <c r="I7" s="26">
        <f t="shared" si="1"/>
        <v>0</v>
      </c>
      <c r="J7" s="26">
        <f t="shared" si="1"/>
        <v>0</v>
      </c>
      <c r="K7" s="26">
        <f t="shared" si="1"/>
        <v>0</v>
      </c>
      <c r="L7" s="29">
        <f t="shared" si="1"/>
        <v>0</v>
      </c>
      <c r="M7" s="13"/>
      <c r="N7" s="19" t="s">
        <v>40</v>
      </c>
      <c r="O7" s="11">
        <v>0.1</v>
      </c>
      <c r="P7" s="18">
        <f>1-O7</f>
        <v>0.9</v>
      </c>
    </row>
    <row r="8" spans="1:16" ht="11.25">
      <c r="A8" s="13" t="s">
        <v>69</v>
      </c>
      <c r="B8" s="39"/>
      <c r="C8" s="3"/>
      <c r="D8" s="20" t="s">
        <v>56</v>
      </c>
      <c r="E8" s="30"/>
      <c r="F8" s="30"/>
      <c r="G8" s="30"/>
      <c r="H8" s="30"/>
      <c r="I8" s="30"/>
      <c r="J8" s="30"/>
      <c r="K8" s="30"/>
      <c r="L8" s="30"/>
      <c r="M8" s="20"/>
      <c r="N8" s="21" t="s">
        <v>20</v>
      </c>
      <c r="O8" s="11">
        <v>0.5</v>
      </c>
      <c r="P8" s="22">
        <f>1-O8</f>
        <v>0.5</v>
      </c>
    </row>
    <row r="9" spans="1:3" ht="11.25">
      <c r="A9" s="13" t="s">
        <v>70</v>
      </c>
      <c r="B9" s="11">
        <v>0.8</v>
      </c>
      <c r="C9" s="3"/>
    </row>
    <row r="10" spans="1:10" ht="12.75">
      <c r="A10" s="13" t="s">
        <v>71</v>
      </c>
      <c r="B10" s="29">
        <f>IF(B5*B9&lt;B7,0,(B5*B9-B7))</f>
        <v>16.5</v>
      </c>
      <c r="C10" s="1"/>
      <c r="D10" s="31"/>
      <c r="E10" s="32" t="s">
        <v>64</v>
      </c>
      <c r="F10" s="24"/>
      <c r="G10" s="24"/>
      <c r="H10" s="24"/>
      <c r="I10" s="24"/>
      <c r="J10" s="25"/>
    </row>
    <row r="11" spans="1:11" ht="11.25" customHeight="1">
      <c r="A11" s="46" t="s">
        <v>73</v>
      </c>
      <c r="B11" s="39"/>
      <c r="C11" s="3"/>
      <c r="D11" s="13"/>
      <c r="E11" s="14"/>
      <c r="F11" s="33" t="s">
        <v>62</v>
      </c>
      <c r="G11" s="34"/>
      <c r="H11" s="34"/>
      <c r="I11" s="34"/>
      <c r="J11" s="35"/>
      <c r="K11" t="s">
        <v>65</v>
      </c>
    </row>
    <row r="12" spans="1:11" ht="11.25">
      <c r="A12" s="13" t="s">
        <v>74</v>
      </c>
      <c r="B12" s="47">
        <v>130</v>
      </c>
      <c r="C12" s="3"/>
      <c r="D12" s="13"/>
      <c r="E12" s="19" t="s">
        <v>58</v>
      </c>
      <c r="F12" s="36">
        <v>12.65</v>
      </c>
      <c r="G12" s="36">
        <v>12.45</v>
      </c>
      <c r="H12" s="36">
        <v>12.24</v>
      </c>
      <c r="I12" s="36">
        <v>12.06</v>
      </c>
      <c r="J12" s="37">
        <v>11.89</v>
      </c>
      <c r="K12" s="4"/>
    </row>
    <row r="13" spans="1:11" ht="11.25">
      <c r="A13" s="13" t="s">
        <v>75</v>
      </c>
      <c r="B13" s="48">
        <v>0.7</v>
      </c>
      <c r="C13" s="3"/>
      <c r="D13" s="13"/>
      <c r="E13" s="15" t="s">
        <v>59</v>
      </c>
      <c r="F13" s="38">
        <v>1</v>
      </c>
      <c r="G13" s="38">
        <v>0.75</v>
      </c>
      <c r="H13" s="38">
        <v>0.5</v>
      </c>
      <c r="I13" s="38">
        <v>0.25</v>
      </c>
      <c r="J13" s="18">
        <v>0</v>
      </c>
      <c r="K13" s="9"/>
    </row>
    <row r="14" spans="1:10" ht="11.25">
      <c r="A14" s="13" t="s">
        <v>76</v>
      </c>
      <c r="B14" s="29">
        <f>B12*B13</f>
        <v>91</v>
      </c>
      <c r="C14" s="3"/>
      <c r="D14" s="13"/>
      <c r="E14" s="14"/>
      <c r="F14" s="33" t="s">
        <v>63</v>
      </c>
      <c r="G14" s="14"/>
      <c r="H14" s="14"/>
      <c r="I14" s="14"/>
      <c r="J14" s="39"/>
    </row>
    <row r="15" spans="1:10" ht="11.25">
      <c r="A15" s="13"/>
      <c r="B15" s="39"/>
      <c r="C15" s="3"/>
      <c r="D15" s="13"/>
      <c r="E15" s="19" t="s">
        <v>58</v>
      </c>
      <c r="F15" s="36">
        <v>12.8</v>
      </c>
      <c r="G15" s="36">
        <v>12.6</v>
      </c>
      <c r="H15" s="36">
        <v>12.4</v>
      </c>
      <c r="I15" s="36">
        <v>12</v>
      </c>
      <c r="J15" s="37">
        <v>11.8</v>
      </c>
    </row>
    <row r="16" spans="1:10" ht="11.25">
      <c r="A16" s="20" t="s">
        <v>55</v>
      </c>
      <c r="B16" s="11">
        <v>0.1</v>
      </c>
      <c r="C16" s="3"/>
      <c r="D16" s="20"/>
      <c r="E16" s="40" t="s">
        <v>59</v>
      </c>
      <c r="F16" s="41">
        <v>1</v>
      </c>
      <c r="G16" s="41">
        <v>0.75</v>
      </c>
      <c r="H16" s="41">
        <v>0.5</v>
      </c>
      <c r="I16" s="41">
        <v>0.25</v>
      </c>
      <c r="J16" s="22">
        <v>0</v>
      </c>
    </row>
    <row r="17" spans="2:3" ht="11.25">
      <c r="B17" s="3"/>
      <c r="C17" s="3"/>
    </row>
    <row r="18" spans="1:17" s="2" customFormat="1" ht="11.25">
      <c r="A18" s="2" t="s">
        <v>21</v>
      </c>
      <c r="D18" s="6">
        <v>3</v>
      </c>
      <c r="E18" s="6">
        <v>3</v>
      </c>
      <c r="F18" s="6">
        <v>3</v>
      </c>
      <c r="G18" s="6">
        <v>3</v>
      </c>
      <c r="H18" s="6">
        <v>3</v>
      </c>
      <c r="I18" s="6">
        <v>3</v>
      </c>
      <c r="J18" s="6">
        <v>3</v>
      </c>
      <c r="K18" s="6"/>
      <c r="L18" s="6"/>
      <c r="M18" s="6"/>
      <c r="N18" s="6"/>
      <c r="O18" s="6"/>
      <c r="P18" s="6"/>
      <c r="Q18" s="6"/>
    </row>
    <row r="20" spans="4:17" ht="11.25">
      <c r="D20" s="4" t="s">
        <v>0</v>
      </c>
      <c r="E20" s="4" t="s">
        <v>1</v>
      </c>
      <c r="F20" s="4" t="s">
        <v>2</v>
      </c>
      <c r="G20" s="4" t="s">
        <v>3</v>
      </c>
      <c r="H20" s="4" t="s">
        <v>4</v>
      </c>
      <c r="I20" s="4" t="s">
        <v>5</v>
      </c>
      <c r="J20" s="4" t="s">
        <v>6</v>
      </c>
      <c r="K20" s="4" t="s">
        <v>7</v>
      </c>
      <c r="L20" s="4" t="s">
        <v>8</v>
      </c>
      <c r="M20" s="4" t="s">
        <v>9</v>
      </c>
      <c r="N20" s="4" t="s">
        <v>10</v>
      </c>
      <c r="O20" s="4" t="s">
        <v>11</v>
      </c>
      <c r="P20" s="4" t="s">
        <v>12</v>
      </c>
      <c r="Q20" s="4" t="s">
        <v>13</v>
      </c>
    </row>
    <row r="21" spans="1:17" ht="15.75">
      <c r="A21" s="5" t="s">
        <v>29</v>
      </c>
      <c r="D21" s="51" t="s">
        <v>66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1:17" ht="11.25">
      <c r="A22" t="s">
        <v>50</v>
      </c>
      <c r="D22" s="1">
        <f>C48</f>
        <v>0.6585862222222222</v>
      </c>
      <c r="E22" s="1">
        <f aca="true" t="shared" si="2" ref="E22:Q22">D48</f>
        <v>0.6640407676767676</v>
      </c>
      <c r="F22" s="1">
        <f t="shared" si="2"/>
        <v>0.6694953131313132</v>
      </c>
      <c r="G22" s="1">
        <f t="shared" si="2"/>
        <v>0.6749498585858585</v>
      </c>
      <c r="H22" s="1">
        <f t="shared" si="2"/>
        <v>0.680404404040404</v>
      </c>
      <c r="I22" s="1">
        <f t="shared" si="2"/>
        <v>0.6858589494949495</v>
      </c>
      <c r="J22" s="1">
        <f t="shared" si="2"/>
        <v>0.6913134949494949</v>
      </c>
      <c r="K22" s="1">
        <f t="shared" si="2"/>
        <v>0.6967680404040404</v>
      </c>
      <c r="L22" s="1">
        <f t="shared" si="2"/>
        <v>0.5000003636363636</v>
      </c>
      <c r="M22" s="1">
        <f t="shared" si="2"/>
        <v>0.5000003636363636</v>
      </c>
      <c r="N22" s="1">
        <f t="shared" si="2"/>
        <v>0.5000003636363636</v>
      </c>
      <c r="O22" s="1">
        <f t="shared" si="2"/>
        <v>0.5000003636363636</v>
      </c>
      <c r="P22" s="1">
        <f t="shared" si="2"/>
        <v>0.5000003636363636</v>
      </c>
      <c r="Q22" s="1">
        <f t="shared" si="2"/>
        <v>0.5000003636363636</v>
      </c>
    </row>
    <row r="23" spans="1:17" s="3" customFormat="1" ht="11.25">
      <c r="A23" s="3" t="s">
        <v>45</v>
      </c>
      <c r="D23" s="3">
        <f aca="true" t="shared" si="3" ref="D23:Q23">$B5*D22</f>
        <v>36.22224222222222</v>
      </c>
      <c r="E23" s="3">
        <f t="shared" si="3"/>
        <v>36.52224222222222</v>
      </c>
      <c r="F23" s="3">
        <f t="shared" si="3"/>
        <v>36.82224222222222</v>
      </c>
      <c r="G23" s="3">
        <f t="shared" si="3"/>
        <v>37.12224222222222</v>
      </c>
      <c r="H23" s="3">
        <f t="shared" si="3"/>
        <v>37.42224222222222</v>
      </c>
      <c r="I23" s="3">
        <f t="shared" si="3"/>
        <v>37.72224222222222</v>
      </c>
      <c r="J23" s="3">
        <f t="shared" si="3"/>
        <v>38.02224222222222</v>
      </c>
      <c r="K23" s="3">
        <f t="shared" si="3"/>
        <v>38.32224222222222</v>
      </c>
      <c r="L23" s="3">
        <f t="shared" si="3"/>
        <v>27.500019999999996</v>
      </c>
      <c r="M23" s="3">
        <f t="shared" si="3"/>
        <v>27.500019999999996</v>
      </c>
      <c r="N23" s="3">
        <f t="shared" si="3"/>
        <v>27.500019999999996</v>
      </c>
      <c r="O23" s="3">
        <f t="shared" si="3"/>
        <v>27.500019999999996</v>
      </c>
      <c r="P23" s="3">
        <f t="shared" si="3"/>
        <v>27.500019999999996</v>
      </c>
      <c r="Q23" s="3">
        <f t="shared" si="3"/>
        <v>27.500019999999996</v>
      </c>
    </row>
    <row r="24" spans="1:17" s="3" customFormat="1" ht="11.25">
      <c r="A24" s="3" t="s">
        <v>44</v>
      </c>
      <c r="D24" s="3">
        <f aca="true" t="shared" si="4" ref="D24:Q24">MAX(D23-$B7,0)</f>
        <v>8.72224222222222</v>
      </c>
      <c r="E24" s="3">
        <f t="shared" si="4"/>
        <v>9.022242222222218</v>
      </c>
      <c r="F24" s="3">
        <f t="shared" si="4"/>
        <v>9.322242222222222</v>
      </c>
      <c r="G24" s="3">
        <f t="shared" si="4"/>
        <v>9.62224222222222</v>
      </c>
      <c r="H24" s="3">
        <f t="shared" si="4"/>
        <v>9.922242222222224</v>
      </c>
      <c r="I24" s="3">
        <f t="shared" si="4"/>
        <v>10.22224222222222</v>
      </c>
      <c r="J24" s="3">
        <f t="shared" si="4"/>
        <v>10.522242222222218</v>
      </c>
      <c r="K24" s="3">
        <f t="shared" si="4"/>
        <v>10.822242222222222</v>
      </c>
      <c r="L24" s="3">
        <f t="shared" si="4"/>
        <v>1.9999999995690132E-05</v>
      </c>
      <c r="M24" s="3">
        <f t="shared" si="4"/>
        <v>1.9999999995690132E-05</v>
      </c>
      <c r="N24" s="3">
        <f t="shared" si="4"/>
        <v>1.9999999995690132E-05</v>
      </c>
      <c r="O24" s="3">
        <f t="shared" si="4"/>
        <v>1.9999999995690132E-05</v>
      </c>
      <c r="P24" s="3">
        <f t="shared" si="4"/>
        <v>1.9999999995690132E-05</v>
      </c>
      <c r="Q24" s="3">
        <f t="shared" si="4"/>
        <v>1.9999999995690132E-05</v>
      </c>
    </row>
    <row r="25" spans="1:17" s="3" customFormat="1" ht="11.25">
      <c r="A25" s="3" t="s">
        <v>24</v>
      </c>
      <c r="D25" s="3">
        <f aca="true" t="shared" si="5" ref="D25:Q25">$B14*D18/12</f>
        <v>22.75</v>
      </c>
      <c r="E25" s="3">
        <f t="shared" si="5"/>
        <v>22.75</v>
      </c>
      <c r="F25" s="3">
        <f t="shared" si="5"/>
        <v>22.75</v>
      </c>
      <c r="G25" s="3">
        <f t="shared" si="5"/>
        <v>22.75</v>
      </c>
      <c r="H25" s="3">
        <f t="shared" si="5"/>
        <v>22.75</v>
      </c>
      <c r="I25" s="3">
        <f t="shared" si="5"/>
        <v>22.75</v>
      </c>
      <c r="J25" s="3">
        <f t="shared" si="5"/>
        <v>22.75</v>
      </c>
      <c r="K25" s="3">
        <f t="shared" si="5"/>
        <v>0</v>
      </c>
      <c r="L25" s="3">
        <f t="shared" si="5"/>
        <v>0</v>
      </c>
      <c r="M25" s="3">
        <f t="shared" si="5"/>
        <v>0</v>
      </c>
      <c r="N25" s="3">
        <f t="shared" si="5"/>
        <v>0</v>
      </c>
      <c r="O25" s="3">
        <f t="shared" si="5"/>
        <v>0</v>
      </c>
      <c r="P25" s="3">
        <f t="shared" si="5"/>
        <v>0</v>
      </c>
      <c r="Q25" s="3">
        <f t="shared" si="5"/>
        <v>0</v>
      </c>
    </row>
    <row r="26" spans="1:17" s="3" customFormat="1" ht="11.25">
      <c r="A26" s="3" t="s">
        <v>46</v>
      </c>
      <c r="D26" s="3">
        <f aca="true" t="shared" si="6" ref="D26:Q26">ROUND((D24+D25),1)</f>
        <v>31.5</v>
      </c>
      <c r="E26" s="3">
        <f t="shared" si="6"/>
        <v>31.8</v>
      </c>
      <c r="F26" s="3">
        <f t="shared" si="6"/>
        <v>32.1</v>
      </c>
      <c r="G26" s="3">
        <f t="shared" si="6"/>
        <v>32.4</v>
      </c>
      <c r="H26" s="3">
        <f t="shared" si="6"/>
        <v>32.7</v>
      </c>
      <c r="I26" s="3">
        <f t="shared" si="6"/>
        <v>33</v>
      </c>
      <c r="J26" s="3">
        <f t="shared" si="6"/>
        <v>33.3</v>
      </c>
      <c r="K26" s="3">
        <f t="shared" si="6"/>
        <v>10.8</v>
      </c>
      <c r="L26" s="3">
        <f t="shared" si="6"/>
        <v>0</v>
      </c>
      <c r="M26" s="3">
        <f t="shared" si="6"/>
        <v>0</v>
      </c>
      <c r="N26" s="3">
        <f t="shared" si="6"/>
        <v>0</v>
      </c>
      <c r="O26" s="3">
        <f t="shared" si="6"/>
        <v>0</v>
      </c>
      <c r="P26" s="3">
        <f t="shared" si="6"/>
        <v>0</v>
      </c>
      <c r="Q26" s="3">
        <f t="shared" si="6"/>
        <v>0</v>
      </c>
    </row>
    <row r="27" s="3" customFormat="1" ht="11.25">
      <c r="A27" s="3" t="s">
        <v>25</v>
      </c>
    </row>
    <row r="28" spans="1:17" s="2" customFormat="1" ht="11.25">
      <c r="A28" s="2" t="s">
        <v>31</v>
      </c>
      <c r="D28" s="8">
        <f aca="true" t="shared" si="7" ref="D28:Q28">IF($G5*$O5&gt;0,MIN(D26,$G$7*$O$5),-0.00001)</f>
        <v>13.333333333333334</v>
      </c>
      <c r="E28" s="8">
        <f t="shared" si="7"/>
        <v>13.333333333333334</v>
      </c>
      <c r="F28" s="8">
        <f t="shared" si="7"/>
        <v>13.333333333333334</v>
      </c>
      <c r="G28" s="8">
        <f t="shared" si="7"/>
        <v>13.333333333333334</v>
      </c>
      <c r="H28" s="8">
        <f t="shared" si="7"/>
        <v>13.333333333333334</v>
      </c>
      <c r="I28" s="8">
        <f t="shared" si="7"/>
        <v>13.333333333333334</v>
      </c>
      <c r="J28" s="8">
        <f t="shared" si="7"/>
        <v>13.333333333333334</v>
      </c>
      <c r="K28" s="8">
        <f t="shared" si="7"/>
        <v>10.8</v>
      </c>
      <c r="L28" s="8">
        <f t="shared" si="7"/>
        <v>0</v>
      </c>
      <c r="M28" s="8">
        <f t="shared" si="7"/>
        <v>0</v>
      </c>
      <c r="N28" s="8">
        <f t="shared" si="7"/>
        <v>0</v>
      </c>
      <c r="O28" s="8">
        <f t="shared" si="7"/>
        <v>0</v>
      </c>
      <c r="P28" s="8">
        <f t="shared" si="7"/>
        <v>0</v>
      </c>
      <c r="Q28" s="8">
        <f t="shared" si="7"/>
        <v>0</v>
      </c>
    </row>
    <row r="29" spans="1:17" s="2" customFormat="1" ht="11.25">
      <c r="A29" s="2" t="s">
        <v>33</v>
      </c>
      <c r="D29" s="8">
        <f aca="true" t="shared" si="8" ref="D29:Q29">IF($H5*$O6&gt;0,MIN($H7*$O6,D26-D28),-0.00001)</f>
        <v>-1E-05</v>
      </c>
      <c r="E29" s="8">
        <f t="shared" si="8"/>
        <v>-1E-05</v>
      </c>
      <c r="F29" s="8">
        <f t="shared" si="8"/>
        <v>-1E-05</v>
      </c>
      <c r="G29" s="8">
        <f t="shared" si="8"/>
        <v>-1E-05</v>
      </c>
      <c r="H29" s="8">
        <f t="shared" si="8"/>
        <v>-1E-05</v>
      </c>
      <c r="I29" s="8">
        <f t="shared" si="8"/>
        <v>-1E-05</v>
      </c>
      <c r="J29" s="8">
        <f t="shared" si="8"/>
        <v>-1E-05</v>
      </c>
      <c r="K29" s="8">
        <f t="shared" si="8"/>
        <v>-1E-05</v>
      </c>
      <c r="L29" s="8">
        <f t="shared" si="8"/>
        <v>-1E-05</v>
      </c>
      <c r="M29" s="8">
        <f t="shared" si="8"/>
        <v>-1E-05</v>
      </c>
      <c r="N29" s="8">
        <f t="shared" si="8"/>
        <v>-1E-05</v>
      </c>
      <c r="O29" s="8">
        <f t="shared" si="8"/>
        <v>-1E-05</v>
      </c>
      <c r="P29" s="8">
        <f t="shared" si="8"/>
        <v>-1E-05</v>
      </c>
      <c r="Q29" s="8">
        <f t="shared" si="8"/>
        <v>-1E-05</v>
      </c>
    </row>
    <row r="30" spans="1:17" s="2" customFormat="1" ht="11.25">
      <c r="A30" s="2" t="s">
        <v>41</v>
      </c>
      <c r="D30" s="8">
        <f aca="true" t="shared" si="9" ref="D30:Q30">IF(SUM($I5:$K5)*$O7&gt;0,MIN(SUM($I$7:$K$7)*$O$7,D26-D28-D29),-0.00001)</f>
        <v>-1E-05</v>
      </c>
      <c r="E30" s="8">
        <f t="shared" si="9"/>
        <v>-1E-05</v>
      </c>
      <c r="F30" s="8">
        <f t="shared" si="9"/>
        <v>-1E-05</v>
      </c>
      <c r="G30" s="8">
        <f t="shared" si="9"/>
        <v>-1E-05</v>
      </c>
      <c r="H30" s="8">
        <f t="shared" si="9"/>
        <v>-1E-05</v>
      </c>
      <c r="I30" s="8">
        <f t="shared" si="9"/>
        <v>-1E-05</v>
      </c>
      <c r="J30" s="8">
        <f t="shared" si="9"/>
        <v>-1E-05</v>
      </c>
      <c r="K30" s="8">
        <f t="shared" si="9"/>
        <v>-1E-05</v>
      </c>
      <c r="L30" s="8">
        <f t="shared" si="9"/>
        <v>-1E-05</v>
      </c>
      <c r="M30" s="8">
        <f t="shared" si="9"/>
        <v>-1E-05</v>
      </c>
      <c r="N30" s="8">
        <f t="shared" si="9"/>
        <v>-1E-05</v>
      </c>
      <c r="O30" s="8">
        <f t="shared" si="9"/>
        <v>-1E-05</v>
      </c>
      <c r="P30" s="8">
        <f t="shared" si="9"/>
        <v>-1E-05</v>
      </c>
      <c r="Q30" s="8">
        <f t="shared" si="9"/>
        <v>-1E-05</v>
      </c>
    </row>
    <row r="31" spans="1:17" s="2" customFormat="1" ht="11.25">
      <c r="A31" s="2" t="s">
        <v>32</v>
      </c>
      <c r="D31" s="8">
        <f aca="true" t="shared" si="10" ref="D31:Q31">IF($L5*$O8&gt;0,MIN($L$7*$O$8,D26-D28-D29-D30),-0.00001)</f>
        <v>-1E-05</v>
      </c>
      <c r="E31" s="8">
        <f t="shared" si="10"/>
        <v>-1E-05</v>
      </c>
      <c r="F31" s="8">
        <f t="shared" si="10"/>
        <v>-1E-05</v>
      </c>
      <c r="G31" s="8">
        <f t="shared" si="10"/>
        <v>-1E-05</v>
      </c>
      <c r="H31" s="8">
        <f t="shared" si="10"/>
        <v>-1E-05</v>
      </c>
      <c r="I31" s="8">
        <f t="shared" si="10"/>
        <v>-1E-05</v>
      </c>
      <c r="J31" s="8">
        <f t="shared" si="10"/>
        <v>-1E-05</v>
      </c>
      <c r="K31" s="8">
        <f t="shared" si="10"/>
        <v>-1E-05</v>
      </c>
      <c r="L31" s="8">
        <f t="shared" si="10"/>
        <v>-1E-05</v>
      </c>
      <c r="M31" s="8">
        <f t="shared" si="10"/>
        <v>-1E-05</v>
      </c>
      <c r="N31" s="8">
        <f t="shared" si="10"/>
        <v>-1E-05</v>
      </c>
      <c r="O31" s="8">
        <f t="shared" si="10"/>
        <v>-1E-05</v>
      </c>
      <c r="P31" s="8">
        <f t="shared" si="10"/>
        <v>-1E-05</v>
      </c>
      <c r="Q31" s="8">
        <f t="shared" si="10"/>
        <v>-1E-05</v>
      </c>
    </row>
    <row r="32" spans="1:17" s="3" customFormat="1" ht="11.25">
      <c r="A32" s="3" t="s">
        <v>47</v>
      </c>
      <c r="D32" s="3">
        <f>SUM(D28:D31)</f>
        <v>13.333303333333335</v>
      </c>
      <c r="E32" s="3">
        <f aca="true" t="shared" si="11" ref="E32:Q32">SUM(E28:E31)</f>
        <v>13.333303333333335</v>
      </c>
      <c r="F32" s="3">
        <f t="shared" si="11"/>
        <v>13.333303333333335</v>
      </c>
      <c r="G32" s="3">
        <f t="shared" si="11"/>
        <v>13.333303333333335</v>
      </c>
      <c r="H32" s="3">
        <f t="shared" si="11"/>
        <v>13.333303333333335</v>
      </c>
      <c r="I32" s="3">
        <f t="shared" si="11"/>
        <v>13.333303333333335</v>
      </c>
      <c r="J32" s="3">
        <f t="shared" si="11"/>
        <v>13.333303333333335</v>
      </c>
      <c r="K32" s="3">
        <f t="shared" si="11"/>
        <v>10.799970000000002</v>
      </c>
      <c r="L32" s="3">
        <f t="shared" si="11"/>
        <v>-3.0000000000000004E-05</v>
      </c>
      <c r="M32" s="3">
        <f t="shared" si="11"/>
        <v>-3.0000000000000004E-05</v>
      </c>
      <c r="N32" s="3">
        <f t="shared" si="11"/>
        <v>-3.0000000000000004E-05</v>
      </c>
      <c r="O32" s="3">
        <f t="shared" si="11"/>
        <v>-3.0000000000000004E-05</v>
      </c>
      <c r="P32" s="3">
        <f t="shared" si="11"/>
        <v>-3.0000000000000004E-05</v>
      </c>
      <c r="Q32" s="3">
        <f t="shared" si="11"/>
        <v>-3.0000000000000004E-05</v>
      </c>
    </row>
    <row r="33" spans="1:17" s="3" customFormat="1" ht="11.25">
      <c r="A33" s="3" t="s">
        <v>48</v>
      </c>
      <c r="D33" s="3">
        <f aca="true" t="shared" si="12" ref="D33:Q33">MIN(0,D26-($G$7*$O$5+$H$7*$O$6+($I$7+$J$7+$K$7)*$O$7+$L$7*$O$8))</f>
        <v>0</v>
      </c>
      <c r="E33" s="3">
        <f t="shared" si="12"/>
        <v>0</v>
      </c>
      <c r="F33" s="3">
        <f t="shared" si="12"/>
        <v>0</v>
      </c>
      <c r="G33" s="3">
        <f t="shared" si="12"/>
        <v>0</v>
      </c>
      <c r="H33" s="3">
        <f t="shared" si="12"/>
        <v>0</v>
      </c>
      <c r="I33" s="3">
        <f t="shared" si="12"/>
        <v>0</v>
      </c>
      <c r="J33" s="3">
        <f t="shared" si="12"/>
        <v>0</v>
      </c>
      <c r="K33" s="3">
        <f t="shared" si="12"/>
        <v>-2.533333333333333</v>
      </c>
      <c r="L33" s="3">
        <f t="shared" si="12"/>
        <v>-13.333333333333334</v>
      </c>
      <c r="M33" s="3">
        <f t="shared" si="12"/>
        <v>-13.333333333333334</v>
      </c>
      <c r="N33" s="3">
        <f t="shared" si="12"/>
        <v>-13.333333333333334</v>
      </c>
      <c r="O33" s="3">
        <f t="shared" si="12"/>
        <v>-13.333333333333334</v>
      </c>
      <c r="P33" s="3">
        <f t="shared" si="12"/>
        <v>-13.333333333333334</v>
      </c>
      <c r="Q33" s="3">
        <f t="shared" si="12"/>
        <v>-13.333333333333334</v>
      </c>
    </row>
    <row r="34" spans="1:17" s="3" customFormat="1" ht="11.25">
      <c r="A34" s="3" t="s">
        <v>61</v>
      </c>
      <c r="D34" s="3">
        <f>MAX(0,D25-D32)*12/14</f>
        <v>8.071454285714283</v>
      </c>
      <c r="E34" s="3">
        <f>MAX(0,E25-E32)*12/14</f>
        <v>8.071454285714283</v>
      </c>
      <c r="F34" s="3">
        <f aca="true" t="shared" si="13" ref="F34:Q34">MAX(0,F25-F32)*12/14</f>
        <v>8.071454285714283</v>
      </c>
      <c r="G34" s="3">
        <f t="shared" si="13"/>
        <v>8.071454285714283</v>
      </c>
      <c r="H34" s="3">
        <f t="shared" si="13"/>
        <v>8.071454285714283</v>
      </c>
      <c r="I34" s="3">
        <f t="shared" si="13"/>
        <v>8.071454285714283</v>
      </c>
      <c r="J34" s="3">
        <f t="shared" si="13"/>
        <v>8.071454285714283</v>
      </c>
      <c r="K34" s="3">
        <f t="shared" si="13"/>
        <v>0</v>
      </c>
      <c r="L34" s="3">
        <f t="shared" si="13"/>
        <v>2.571428571428572E-05</v>
      </c>
      <c r="M34" s="3">
        <f t="shared" si="13"/>
        <v>2.571428571428572E-05</v>
      </c>
      <c r="N34" s="3">
        <f t="shared" si="13"/>
        <v>2.571428571428572E-05</v>
      </c>
      <c r="O34" s="3">
        <f t="shared" si="13"/>
        <v>2.571428571428572E-05</v>
      </c>
      <c r="P34" s="3">
        <f t="shared" si="13"/>
        <v>2.571428571428572E-05</v>
      </c>
      <c r="Q34" s="3">
        <f t="shared" si="13"/>
        <v>2.571428571428572E-05</v>
      </c>
    </row>
    <row r="35" spans="1:17" s="3" customFormat="1" ht="11.25">
      <c r="A35" s="3" t="s">
        <v>43</v>
      </c>
      <c r="D35" s="3">
        <f aca="true" t="shared" si="14" ref="D35:Q35">MIN($B5-$B7,D24+IF(D34,D34,-D32))</f>
        <v>16.793696507936502</v>
      </c>
      <c r="E35" s="3">
        <f t="shared" si="14"/>
        <v>17.0936965079365</v>
      </c>
      <c r="F35" s="3">
        <f t="shared" si="14"/>
        <v>17.393696507936504</v>
      </c>
      <c r="G35" s="3">
        <f t="shared" si="14"/>
        <v>17.6936965079365</v>
      </c>
      <c r="H35" s="3">
        <f t="shared" si="14"/>
        <v>17.993696507936505</v>
      </c>
      <c r="I35" s="3">
        <f t="shared" si="14"/>
        <v>18.293696507936502</v>
      </c>
      <c r="J35" s="3">
        <f t="shared" si="14"/>
        <v>18.5936965079365</v>
      </c>
      <c r="K35" s="3">
        <f t="shared" si="14"/>
        <v>0.02227222222222025</v>
      </c>
      <c r="L35" s="3">
        <f t="shared" si="14"/>
        <v>4.571428570997585E-05</v>
      </c>
      <c r="M35" s="3">
        <f t="shared" si="14"/>
        <v>4.571428570997585E-05</v>
      </c>
      <c r="N35" s="3">
        <f t="shared" si="14"/>
        <v>4.571428570997585E-05</v>
      </c>
      <c r="O35" s="3">
        <f t="shared" si="14"/>
        <v>4.571428570997585E-05</v>
      </c>
      <c r="P35" s="3">
        <f t="shared" si="14"/>
        <v>4.571428570997585E-05</v>
      </c>
      <c r="Q35" s="3">
        <f t="shared" si="14"/>
        <v>4.571428570997585E-05</v>
      </c>
    </row>
    <row r="36" s="3" customFormat="1" ht="12.75">
      <c r="A36" s="7" t="s">
        <v>30</v>
      </c>
    </row>
    <row r="37" spans="1:17" ht="11.25">
      <c r="A37" t="s">
        <v>57</v>
      </c>
      <c r="C37" s="1">
        <f>B9</f>
        <v>0.8</v>
      </c>
      <c r="D37" s="1">
        <f aca="true" t="shared" si="15" ref="D37:Q37">(D35+$B7)/$B5</f>
        <v>0.8053399365079364</v>
      </c>
      <c r="E37" s="1">
        <f t="shared" si="15"/>
        <v>0.8107944819624818</v>
      </c>
      <c r="F37" s="1">
        <f t="shared" si="15"/>
        <v>0.8162490274170273</v>
      </c>
      <c r="G37" s="1">
        <f t="shared" si="15"/>
        <v>0.8217035728715727</v>
      </c>
      <c r="H37" s="1">
        <f t="shared" si="15"/>
        <v>0.8271581183261183</v>
      </c>
      <c r="I37" s="1">
        <f t="shared" si="15"/>
        <v>0.8326126637806637</v>
      </c>
      <c r="J37" s="1">
        <f t="shared" si="15"/>
        <v>0.838067209235209</v>
      </c>
      <c r="K37" s="1">
        <f t="shared" si="15"/>
        <v>0.5004049494949495</v>
      </c>
      <c r="L37" s="1">
        <f t="shared" si="15"/>
        <v>0.5000008311688311</v>
      </c>
      <c r="M37" s="1">
        <f t="shared" si="15"/>
        <v>0.5000008311688311</v>
      </c>
      <c r="N37" s="1">
        <f t="shared" si="15"/>
        <v>0.5000008311688311</v>
      </c>
      <c r="O37" s="1">
        <f t="shared" si="15"/>
        <v>0.5000008311688311</v>
      </c>
      <c r="P37" s="1">
        <f t="shared" si="15"/>
        <v>0.5000008311688311</v>
      </c>
      <c r="Q37" s="1">
        <f t="shared" si="15"/>
        <v>0.5000008311688311</v>
      </c>
    </row>
    <row r="38" spans="1:17" s="3" customFormat="1" ht="11.25">
      <c r="A38" s="3" t="s">
        <v>45</v>
      </c>
      <c r="C38" s="3">
        <f>B5*B9</f>
        <v>44</v>
      </c>
      <c r="D38" s="3">
        <f aca="true" t="shared" si="16" ref="D38:Q38">D35+$B7</f>
        <v>44.2936965079365</v>
      </c>
      <c r="E38" s="3">
        <f t="shared" si="16"/>
        <v>44.5936965079365</v>
      </c>
      <c r="F38" s="3">
        <f t="shared" si="16"/>
        <v>44.893696507936504</v>
      </c>
      <c r="G38" s="3">
        <f t="shared" si="16"/>
        <v>45.1936965079365</v>
      </c>
      <c r="H38" s="3">
        <f t="shared" si="16"/>
        <v>45.493696507936505</v>
      </c>
      <c r="I38" s="3">
        <f t="shared" si="16"/>
        <v>45.7936965079365</v>
      </c>
      <c r="J38" s="3">
        <f t="shared" si="16"/>
        <v>46.0936965079365</v>
      </c>
      <c r="K38" s="3">
        <f t="shared" si="16"/>
        <v>27.52227222222222</v>
      </c>
      <c r="L38" s="3">
        <f t="shared" si="16"/>
        <v>27.50004571428571</v>
      </c>
      <c r="M38" s="3">
        <f t="shared" si="16"/>
        <v>27.50004571428571</v>
      </c>
      <c r="N38" s="3">
        <f t="shared" si="16"/>
        <v>27.50004571428571</v>
      </c>
      <c r="O38" s="3">
        <f t="shared" si="16"/>
        <v>27.50004571428571</v>
      </c>
      <c r="P38" s="3">
        <f t="shared" si="16"/>
        <v>27.50004571428571</v>
      </c>
      <c r="Q38" s="3">
        <f t="shared" si="16"/>
        <v>27.50004571428571</v>
      </c>
    </row>
    <row r="39" spans="1:17" s="3" customFormat="1" ht="11.25">
      <c r="A39" s="3" t="s">
        <v>44</v>
      </c>
      <c r="C39" s="3">
        <f aca="true" t="shared" si="17" ref="C39:Q39">ROUND(MAX(C38-$B7,0),1)</f>
        <v>16.5</v>
      </c>
      <c r="D39" s="3">
        <f t="shared" si="17"/>
        <v>16.8</v>
      </c>
      <c r="E39" s="3">
        <f t="shared" si="17"/>
        <v>17.1</v>
      </c>
      <c r="F39" s="3">
        <f t="shared" si="17"/>
        <v>17.4</v>
      </c>
      <c r="G39" s="3">
        <f t="shared" si="17"/>
        <v>17.7</v>
      </c>
      <c r="H39" s="3">
        <f t="shared" si="17"/>
        <v>18</v>
      </c>
      <c r="I39" s="3">
        <f t="shared" si="17"/>
        <v>18.3</v>
      </c>
      <c r="J39" s="3">
        <f t="shared" si="17"/>
        <v>18.6</v>
      </c>
      <c r="K39" s="3">
        <f t="shared" si="17"/>
        <v>0</v>
      </c>
      <c r="L39" s="3">
        <f t="shared" si="17"/>
        <v>0</v>
      </c>
      <c r="M39" s="3">
        <f t="shared" si="17"/>
        <v>0</v>
      </c>
      <c r="N39" s="3">
        <f t="shared" si="17"/>
        <v>0</v>
      </c>
      <c r="O39" s="3">
        <f t="shared" si="17"/>
        <v>0</v>
      </c>
      <c r="P39" s="3">
        <f t="shared" si="17"/>
        <v>0</v>
      </c>
      <c r="Q39" s="3">
        <f t="shared" si="17"/>
        <v>0</v>
      </c>
    </row>
    <row r="40" s="3" customFormat="1" ht="11.25">
      <c r="A40" s="3" t="s">
        <v>25</v>
      </c>
    </row>
    <row r="41" spans="1:17" s="2" customFormat="1" ht="11.25">
      <c r="A41" s="2" t="s">
        <v>31</v>
      </c>
      <c r="C41" s="8">
        <f aca="true" t="shared" si="18" ref="C41:Q41">IF($G5*$P5&gt;0,MIN(C39,$G$7*$P$5),-0.00001)</f>
        <v>4.444444444444445</v>
      </c>
      <c r="D41" s="8">
        <f t="shared" si="18"/>
        <v>4.444444444444445</v>
      </c>
      <c r="E41" s="8">
        <f t="shared" si="18"/>
        <v>4.444444444444445</v>
      </c>
      <c r="F41" s="8">
        <f t="shared" si="18"/>
        <v>4.444444444444445</v>
      </c>
      <c r="G41" s="8">
        <f t="shared" si="18"/>
        <v>4.444444444444445</v>
      </c>
      <c r="H41" s="8">
        <f t="shared" si="18"/>
        <v>4.444444444444445</v>
      </c>
      <c r="I41" s="8">
        <f t="shared" si="18"/>
        <v>4.444444444444445</v>
      </c>
      <c r="J41" s="8">
        <f t="shared" si="18"/>
        <v>4.444444444444445</v>
      </c>
      <c r="K41" s="8">
        <f t="shared" si="18"/>
        <v>0</v>
      </c>
      <c r="L41" s="8">
        <f t="shared" si="18"/>
        <v>0</v>
      </c>
      <c r="M41" s="8">
        <f t="shared" si="18"/>
        <v>0</v>
      </c>
      <c r="N41" s="8">
        <f t="shared" si="18"/>
        <v>0</v>
      </c>
      <c r="O41" s="8">
        <f t="shared" si="18"/>
        <v>0</v>
      </c>
      <c r="P41" s="8">
        <f t="shared" si="18"/>
        <v>0</v>
      </c>
      <c r="Q41" s="8">
        <f t="shared" si="18"/>
        <v>0</v>
      </c>
    </row>
    <row r="42" spans="1:17" s="2" customFormat="1" ht="11.25">
      <c r="A42" s="2" t="s">
        <v>33</v>
      </c>
      <c r="C42" s="8">
        <f aca="true" t="shared" si="19" ref="C42:Q42">IF($H5*$P6&gt;0,MIN($H7*$P6,C39-C41),-0.00001)</f>
        <v>3.333333333333333</v>
      </c>
      <c r="D42" s="8">
        <f t="shared" si="19"/>
        <v>3.333333333333333</v>
      </c>
      <c r="E42" s="8">
        <f t="shared" si="19"/>
        <v>3.333333333333333</v>
      </c>
      <c r="F42" s="8">
        <f t="shared" si="19"/>
        <v>3.333333333333333</v>
      </c>
      <c r="G42" s="8">
        <f t="shared" si="19"/>
        <v>3.333333333333333</v>
      </c>
      <c r="H42" s="8">
        <f t="shared" si="19"/>
        <v>3.333333333333333</v>
      </c>
      <c r="I42" s="8">
        <f t="shared" si="19"/>
        <v>3.333333333333333</v>
      </c>
      <c r="J42" s="8">
        <f t="shared" si="19"/>
        <v>3.333333333333333</v>
      </c>
      <c r="K42" s="8">
        <f t="shared" si="19"/>
        <v>0</v>
      </c>
      <c r="L42" s="8">
        <f t="shared" si="19"/>
        <v>0</v>
      </c>
      <c r="M42" s="8">
        <f t="shared" si="19"/>
        <v>0</v>
      </c>
      <c r="N42" s="8">
        <f t="shared" si="19"/>
        <v>0</v>
      </c>
      <c r="O42" s="8">
        <f t="shared" si="19"/>
        <v>0</v>
      </c>
      <c r="P42" s="8">
        <f t="shared" si="19"/>
        <v>0</v>
      </c>
      <c r="Q42" s="8">
        <f t="shared" si="19"/>
        <v>0</v>
      </c>
    </row>
    <row r="43" spans="1:17" s="2" customFormat="1" ht="11.25">
      <c r="A43" s="2" t="s">
        <v>41</v>
      </c>
      <c r="C43" s="8">
        <f aca="true" t="shared" si="20" ref="C43:Q43">IF(SUM($I5:$K5)*$P7&gt;0,MIN(SUM($I$7:$K$7)*$P$7,C39-C41-C42),-0.00001)</f>
        <v>-1E-05</v>
      </c>
      <c r="D43" s="8">
        <f t="shared" si="20"/>
        <v>-1E-05</v>
      </c>
      <c r="E43" s="8">
        <f t="shared" si="20"/>
        <v>-1E-05</v>
      </c>
      <c r="F43" s="8">
        <f t="shared" si="20"/>
        <v>-1E-05</v>
      </c>
      <c r="G43" s="8">
        <f t="shared" si="20"/>
        <v>-1E-05</v>
      </c>
      <c r="H43" s="8">
        <f t="shared" si="20"/>
        <v>-1E-05</v>
      </c>
      <c r="I43" s="8">
        <f t="shared" si="20"/>
        <v>-1E-05</v>
      </c>
      <c r="J43" s="8">
        <f t="shared" si="20"/>
        <v>-1E-05</v>
      </c>
      <c r="K43" s="8">
        <f t="shared" si="20"/>
        <v>-1E-05</v>
      </c>
      <c r="L43" s="8">
        <f t="shared" si="20"/>
        <v>-1E-05</v>
      </c>
      <c r="M43" s="8">
        <f t="shared" si="20"/>
        <v>-1E-05</v>
      </c>
      <c r="N43" s="8">
        <f t="shared" si="20"/>
        <v>-1E-05</v>
      </c>
      <c r="O43" s="8">
        <f t="shared" si="20"/>
        <v>-1E-05</v>
      </c>
      <c r="P43" s="8">
        <f t="shared" si="20"/>
        <v>-1E-05</v>
      </c>
      <c r="Q43" s="8">
        <f t="shared" si="20"/>
        <v>-1E-05</v>
      </c>
    </row>
    <row r="44" spans="1:17" s="2" customFormat="1" ht="11.25">
      <c r="A44" s="2" t="s">
        <v>32</v>
      </c>
      <c r="C44" s="8">
        <f aca="true" t="shared" si="21" ref="C44:Q44">IF($L5*$P8&gt;0,MIN($L$7*$P$8,C39-C41-C42-C43),-0.00001)</f>
        <v>-1E-05</v>
      </c>
      <c r="D44" s="8">
        <f t="shared" si="21"/>
        <v>-1E-05</v>
      </c>
      <c r="E44" s="8">
        <f t="shared" si="21"/>
        <v>-1E-05</v>
      </c>
      <c r="F44" s="8">
        <f t="shared" si="21"/>
        <v>-1E-05</v>
      </c>
      <c r="G44" s="8">
        <f t="shared" si="21"/>
        <v>-1E-05</v>
      </c>
      <c r="H44" s="8">
        <f t="shared" si="21"/>
        <v>-1E-05</v>
      </c>
      <c r="I44" s="8">
        <f t="shared" si="21"/>
        <v>-1E-05</v>
      </c>
      <c r="J44" s="8">
        <f t="shared" si="21"/>
        <v>-1E-05</v>
      </c>
      <c r="K44" s="8">
        <f t="shared" si="21"/>
        <v>-1E-05</v>
      </c>
      <c r="L44" s="8">
        <f t="shared" si="21"/>
        <v>-1E-05</v>
      </c>
      <c r="M44" s="8">
        <f t="shared" si="21"/>
        <v>-1E-05</v>
      </c>
      <c r="N44" s="8">
        <f t="shared" si="21"/>
        <v>-1E-05</v>
      </c>
      <c r="O44" s="8">
        <f t="shared" si="21"/>
        <v>-1E-05</v>
      </c>
      <c r="P44" s="8">
        <f t="shared" si="21"/>
        <v>-1E-05</v>
      </c>
      <c r="Q44" s="8">
        <f t="shared" si="21"/>
        <v>-1E-05</v>
      </c>
    </row>
    <row r="45" spans="1:17" s="3" customFormat="1" ht="11.25">
      <c r="A45" s="3" t="s">
        <v>47</v>
      </c>
      <c r="C45" s="3">
        <f>SUM(C41:C44)</f>
        <v>7.777757777777778</v>
      </c>
      <c r="D45" s="3">
        <f aca="true" t="shared" si="22" ref="D45:Q45">SUM(D41:D44)</f>
        <v>7.777757777777778</v>
      </c>
      <c r="E45" s="3">
        <f t="shared" si="22"/>
        <v>7.777757777777778</v>
      </c>
      <c r="F45" s="3">
        <f t="shared" si="22"/>
        <v>7.777757777777778</v>
      </c>
      <c r="G45" s="3">
        <f t="shared" si="22"/>
        <v>7.777757777777778</v>
      </c>
      <c r="H45" s="3">
        <f t="shared" si="22"/>
        <v>7.777757777777778</v>
      </c>
      <c r="I45" s="3">
        <f t="shared" si="22"/>
        <v>7.777757777777778</v>
      </c>
      <c r="J45" s="3">
        <f t="shared" si="22"/>
        <v>7.777757777777778</v>
      </c>
      <c r="K45" s="3">
        <f t="shared" si="22"/>
        <v>-2E-05</v>
      </c>
      <c r="L45" s="3">
        <f t="shared" si="22"/>
        <v>-2E-05</v>
      </c>
      <c r="M45" s="3">
        <f t="shared" si="22"/>
        <v>-2E-05</v>
      </c>
      <c r="N45" s="3">
        <f t="shared" si="22"/>
        <v>-2E-05</v>
      </c>
      <c r="O45" s="3">
        <f t="shared" si="22"/>
        <v>-2E-05</v>
      </c>
      <c r="P45" s="3">
        <f t="shared" si="22"/>
        <v>-2E-05</v>
      </c>
      <c r="Q45" s="3">
        <f t="shared" si="22"/>
        <v>-2E-05</v>
      </c>
    </row>
    <row r="46" spans="1:17" s="3" customFormat="1" ht="11.25">
      <c r="A46" s="3" t="s">
        <v>48</v>
      </c>
      <c r="C46" s="3">
        <f aca="true" t="shared" si="23" ref="C46:Q46">MIN(0,C39-($G$7*$P$5+$H$7*$P$6+($I$7+$J$7+$K$7)*$P$7+$L$7*$P$8))</f>
        <v>0</v>
      </c>
      <c r="D46" s="3">
        <f t="shared" si="23"/>
        <v>0</v>
      </c>
      <c r="E46" s="3">
        <f t="shared" si="23"/>
        <v>0</v>
      </c>
      <c r="F46" s="3">
        <f t="shared" si="23"/>
        <v>0</v>
      </c>
      <c r="G46" s="3">
        <f t="shared" si="23"/>
        <v>0</v>
      </c>
      <c r="H46" s="3">
        <f t="shared" si="23"/>
        <v>0</v>
      </c>
      <c r="I46" s="3">
        <f t="shared" si="23"/>
        <v>0</v>
      </c>
      <c r="J46" s="3">
        <f t="shared" si="23"/>
        <v>0</v>
      </c>
      <c r="K46" s="3">
        <f t="shared" si="23"/>
        <v>-7.777777777777778</v>
      </c>
      <c r="L46" s="3">
        <f t="shared" si="23"/>
        <v>-7.777777777777778</v>
      </c>
      <c r="M46" s="3">
        <f t="shared" si="23"/>
        <v>-7.777777777777778</v>
      </c>
      <c r="N46" s="3">
        <f t="shared" si="23"/>
        <v>-7.777777777777778</v>
      </c>
      <c r="O46" s="3">
        <f t="shared" si="23"/>
        <v>-7.777777777777778</v>
      </c>
      <c r="P46" s="3">
        <f t="shared" si="23"/>
        <v>-7.777777777777778</v>
      </c>
      <c r="Q46" s="3">
        <f t="shared" si="23"/>
        <v>-7.777777777777778</v>
      </c>
    </row>
    <row r="47" spans="1:17" s="3" customFormat="1" ht="11.25">
      <c r="A47" t="s">
        <v>49</v>
      </c>
      <c r="C47" s="3">
        <f>C39-C45</f>
        <v>8.72224222222222</v>
      </c>
      <c r="D47" s="3">
        <f aca="true" t="shared" si="24" ref="D47:Q47">D39-D45</f>
        <v>9.022242222222221</v>
      </c>
      <c r="E47" s="3">
        <f t="shared" si="24"/>
        <v>9.322242222222222</v>
      </c>
      <c r="F47" s="3">
        <f t="shared" si="24"/>
        <v>9.62224222222222</v>
      </c>
      <c r="G47" s="3">
        <f t="shared" si="24"/>
        <v>9.92224222222222</v>
      </c>
      <c r="H47" s="3">
        <f t="shared" si="24"/>
        <v>10.22224222222222</v>
      </c>
      <c r="I47" s="3">
        <f t="shared" si="24"/>
        <v>10.522242222222221</v>
      </c>
      <c r="J47" s="3">
        <f t="shared" si="24"/>
        <v>10.822242222222222</v>
      </c>
      <c r="K47" s="3">
        <f t="shared" si="24"/>
        <v>2E-05</v>
      </c>
      <c r="L47" s="3">
        <f t="shared" si="24"/>
        <v>2E-05</v>
      </c>
      <c r="M47" s="3">
        <f t="shared" si="24"/>
        <v>2E-05</v>
      </c>
      <c r="N47" s="3">
        <f t="shared" si="24"/>
        <v>2E-05</v>
      </c>
      <c r="O47" s="3">
        <f t="shared" si="24"/>
        <v>2E-05</v>
      </c>
      <c r="P47" s="3">
        <f t="shared" si="24"/>
        <v>2E-05</v>
      </c>
      <c r="Q47" s="3">
        <f t="shared" si="24"/>
        <v>2E-05</v>
      </c>
    </row>
    <row r="48" spans="1:17" s="3" customFormat="1" ht="11.25">
      <c r="A48" t="s">
        <v>22</v>
      </c>
      <c r="C48" s="1">
        <f aca="true" t="shared" si="25" ref="C48:Q48">(C47+$B7)/$B5</f>
        <v>0.6585862222222222</v>
      </c>
      <c r="D48" s="1">
        <f t="shared" si="25"/>
        <v>0.6640407676767676</v>
      </c>
      <c r="E48" s="1">
        <f t="shared" si="25"/>
        <v>0.6694953131313132</v>
      </c>
      <c r="F48" s="1">
        <f t="shared" si="25"/>
        <v>0.6749498585858585</v>
      </c>
      <c r="G48" s="1">
        <f t="shared" si="25"/>
        <v>0.680404404040404</v>
      </c>
      <c r="H48" s="1">
        <f t="shared" si="25"/>
        <v>0.6858589494949495</v>
      </c>
      <c r="I48" s="1">
        <f t="shared" si="25"/>
        <v>0.6913134949494949</v>
      </c>
      <c r="J48" s="1">
        <f t="shared" si="25"/>
        <v>0.6967680404040404</v>
      </c>
      <c r="K48" s="1">
        <f t="shared" si="25"/>
        <v>0.5000003636363636</v>
      </c>
      <c r="L48" s="1">
        <f t="shared" si="25"/>
        <v>0.5000003636363636</v>
      </c>
      <c r="M48" s="1">
        <f t="shared" si="25"/>
        <v>0.5000003636363636</v>
      </c>
      <c r="N48" s="1">
        <f t="shared" si="25"/>
        <v>0.5000003636363636</v>
      </c>
      <c r="O48" s="1">
        <f t="shared" si="25"/>
        <v>0.5000003636363636</v>
      </c>
      <c r="P48" s="1">
        <f t="shared" si="25"/>
        <v>0.5000003636363636</v>
      </c>
      <c r="Q48" s="1">
        <f t="shared" si="25"/>
        <v>0.5000003636363636</v>
      </c>
    </row>
    <row r="49" s="3" customFormat="1" ht="11.25"/>
    <row r="50" s="3" customFormat="1" ht="12.75">
      <c r="A50" s="7" t="s">
        <v>51</v>
      </c>
    </row>
    <row r="51" s="3" customFormat="1" ht="11.25">
      <c r="A51" s="3" t="s">
        <v>28</v>
      </c>
    </row>
    <row r="52" spans="1:17" s="3" customFormat="1" ht="11.25">
      <c r="A52" s="3" t="s">
        <v>53</v>
      </c>
      <c r="C52" s="3">
        <f>C39</f>
        <v>16.5</v>
      </c>
      <c r="D52" s="3">
        <f>D24</f>
        <v>8.72224222222222</v>
      </c>
      <c r="E52" s="3">
        <f aca="true" t="shared" si="26" ref="E52:Q52">E24</f>
        <v>9.022242222222218</v>
      </c>
      <c r="F52" s="3">
        <f t="shared" si="26"/>
        <v>9.322242222222222</v>
      </c>
      <c r="G52" s="3">
        <f t="shared" si="26"/>
        <v>9.62224222222222</v>
      </c>
      <c r="H52" s="3">
        <f t="shared" si="26"/>
        <v>9.922242222222224</v>
      </c>
      <c r="I52" s="3">
        <f t="shared" si="26"/>
        <v>10.22224222222222</v>
      </c>
      <c r="J52" s="3">
        <f t="shared" si="26"/>
        <v>10.522242222222218</v>
      </c>
      <c r="K52" s="3">
        <f t="shared" si="26"/>
        <v>10.822242222222222</v>
      </c>
      <c r="L52" s="3">
        <f t="shared" si="26"/>
        <v>1.9999999995690132E-05</v>
      </c>
      <c r="M52" s="3">
        <f t="shared" si="26"/>
        <v>1.9999999995690132E-05</v>
      </c>
      <c r="N52" s="3">
        <f t="shared" si="26"/>
        <v>1.9999999995690132E-05</v>
      </c>
      <c r="O52" s="3">
        <f t="shared" si="26"/>
        <v>1.9999999995690132E-05</v>
      </c>
      <c r="P52" s="3">
        <f t="shared" si="26"/>
        <v>1.9999999995690132E-05</v>
      </c>
      <c r="Q52" s="3">
        <f t="shared" si="26"/>
        <v>1.9999999995690132E-05</v>
      </c>
    </row>
    <row r="53" spans="1:17" s="3" customFormat="1" ht="11.25">
      <c r="A53" s="3" t="s">
        <v>52</v>
      </c>
      <c r="C53" s="3">
        <f>C25</f>
        <v>0</v>
      </c>
      <c r="D53" s="3">
        <f>D25</f>
        <v>22.75</v>
      </c>
      <c r="E53" s="3">
        <f aca="true" t="shared" si="27" ref="E53:Q53">E25</f>
        <v>22.75</v>
      </c>
      <c r="F53" s="3">
        <f t="shared" si="27"/>
        <v>22.75</v>
      </c>
      <c r="G53" s="3">
        <f t="shared" si="27"/>
        <v>22.75</v>
      </c>
      <c r="H53" s="3">
        <f t="shared" si="27"/>
        <v>22.75</v>
      </c>
      <c r="I53" s="3">
        <f t="shared" si="27"/>
        <v>22.75</v>
      </c>
      <c r="J53" s="3">
        <f t="shared" si="27"/>
        <v>22.75</v>
      </c>
      <c r="K53" s="3">
        <f t="shared" si="27"/>
        <v>0</v>
      </c>
      <c r="L53" s="3">
        <f t="shared" si="27"/>
        <v>0</v>
      </c>
      <c r="M53" s="3">
        <f t="shared" si="27"/>
        <v>0</v>
      </c>
      <c r="N53" s="3">
        <f t="shared" si="27"/>
        <v>0</v>
      </c>
      <c r="O53" s="3">
        <f t="shared" si="27"/>
        <v>0</v>
      </c>
      <c r="P53" s="3">
        <f t="shared" si="27"/>
        <v>0</v>
      </c>
      <c r="Q53" s="3">
        <f t="shared" si="27"/>
        <v>0</v>
      </c>
    </row>
    <row r="54" spans="1:17" ht="11.25">
      <c r="A54" s="3" t="s">
        <v>54</v>
      </c>
      <c r="C54" s="3">
        <f>C52+C53</f>
        <v>16.5</v>
      </c>
      <c r="D54" s="3">
        <f aca="true" t="shared" si="28" ref="D54:Q54">D52+D53</f>
        <v>31.47224222222222</v>
      </c>
      <c r="E54" s="3">
        <f t="shared" si="28"/>
        <v>31.772242222222218</v>
      </c>
      <c r="F54" s="3">
        <f t="shared" si="28"/>
        <v>32.07224222222222</v>
      </c>
      <c r="G54" s="3">
        <f t="shared" si="28"/>
        <v>32.37224222222222</v>
      </c>
      <c r="H54" s="3">
        <f t="shared" si="28"/>
        <v>32.67224222222222</v>
      </c>
      <c r="I54" s="3">
        <f t="shared" si="28"/>
        <v>32.97224222222222</v>
      </c>
      <c r="J54" s="3">
        <f t="shared" si="28"/>
        <v>33.27224222222222</v>
      </c>
      <c r="K54" s="3">
        <f t="shared" si="28"/>
        <v>10.822242222222222</v>
      </c>
      <c r="L54" s="3">
        <f t="shared" si="28"/>
        <v>1.9999999995690132E-05</v>
      </c>
      <c r="M54" s="3">
        <f t="shared" si="28"/>
        <v>1.9999999995690132E-05</v>
      </c>
      <c r="N54" s="3">
        <f t="shared" si="28"/>
        <v>1.9999999995690132E-05</v>
      </c>
      <c r="O54" s="3">
        <f t="shared" si="28"/>
        <v>1.9999999995690132E-05</v>
      </c>
      <c r="P54" s="3">
        <f t="shared" si="28"/>
        <v>1.9999999995690132E-05</v>
      </c>
      <c r="Q54" s="3">
        <f t="shared" si="28"/>
        <v>1.9999999995690132E-05</v>
      </c>
    </row>
    <row r="55" spans="1:17" ht="11.25">
      <c r="A55" s="3" t="s">
        <v>26</v>
      </c>
      <c r="C55" s="3">
        <f>G7*P5+H7*P6+(I7+J7+K7)*P7+L7*P8</f>
        <v>7.777777777777778</v>
      </c>
      <c r="D55" s="3">
        <f aca="true" t="shared" si="29" ref="D55:Q55">SUM($G7:$L7)</f>
        <v>21.11111111111111</v>
      </c>
      <c r="E55" s="3">
        <f t="shared" si="29"/>
        <v>21.11111111111111</v>
      </c>
      <c r="F55" s="3">
        <f t="shared" si="29"/>
        <v>21.11111111111111</v>
      </c>
      <c r="G55" s="3">
        <f t="shared" si="29"/>
        <v>21.11111111111111</v>
      </c>
      <c r="H55" s="3">
        <f t="shared" si="29"/>
        <v>21.11111111111111</v>
      </c>
      <c r="I55" s="3">
        <f t="shared" si="29"/>
        <v>21.11111111111111</v>
      </c>
      <c r="J55" s="3">
        <f t="shared" si="29"/>
        <v>21.11111111111111</v>
      </c>
      <c r="K55" s="3">
        <f t="shared" si="29"/>
        <v>21.11111111111111</v>
      </c>
      <c r="L55" s="3">
        <f t="shared" si="29"/>
        <v>21.11111111111111</v>
      </c>
      <c r="M55" s="3">
        <f t="shared" si="29"/>
        <v>21.11111111111111</v>
      </c>
      <c r="N55" s="3">
        <f t="shared" si="29"/>
        <v>21.11111111111111</v>
      </c>
      <c r="O55" s="3">
        <f t="shared" si="29"/>
        <v>21.11111111111111</v>
      </c>
      <c r="P55" s="3">
        <f t="shared" si="29"/>
        <v>21.11111111111111</v>
      </c>
      <c r="Q55" s="3">
        <f t="shared" si="29"/>
        <v>21.11111111111111</v>
      </c>
    </row>
    <row r="56" spans="1:17" ht="11.25">
      <c r="A56" s="3" t="s">
        <v>27</v>
      </c>
      <c r="C56" s="3">
        <f aca="true" t="shared" si="30" ref="C56:Q56">MIN(0,C54-C55)</f>
        <v>0</v>
      </c>
      <c r="D56" s="3">
        <f t="shared" si="30"/>
        <v>0</v>
      </c>
      <c r="E56" s="3">
        <f t="shared" si="30"/>
        <v>0</v>
      </c>
      <c r="F56" s="3">
        <f t="shared" si="30"/>
        <v>0</v>
      </c>
      <c r="G56" s="3">
        <f t="shared" si="30"/>
        <v>0</v>
      </c>
      <c r="H56" s="3">
        <f t="shared" si="30"/>
        <v>0</v>
      </c>
      <c r="I56" s="3">
        <f t="shared" si="30"/>
        <v>0</v>
      </c>
      <c r="J56" s="3">
        <f t="shared" si="30"/>
        <v>0</v>
      </c>
      <c r="K56" s="3">
        <f t="shared" si="30"/>
        <v>-10.288868888888889</v>
      </c>
      <c r="L56" s="3">
        <f t="shared" si="30"/>
        <v>-21.111091111111115</v>
      </c>
      <c r="M56" s="3">
        <f t="shared" si="30"/>
        <v>-21.111091111111115</v>
      </c>
      <c r="N56" s="3">
        <f t="shared" si="30"/>
        <v>-21.111091111111115</v>
      </c>
      <c r="O56" s="3">
        <f t="shared" si="30"/>
        <v>-21.111091111111115</v>
      </c>
      <c r="P56" s="3">
        <f t="shared" si="30"/>
        <v>-21.111091111111115</v>
      </c>
      <c r="Q56" s="3">
        <f t="shared" si="30"/>
        <v>-21.111091111111115</v>
      </c>
    </row>
    <row r="57" ht="11.25">
      <c r="A57" s="3"/>
    </row>
    <row r="58" spans="10:12" ht="15">
      <c r="J58" s="50" t="s">
        <v>78</v>
      </c>
      <c r="K58" s="50"/>
      <c r="L58" s="50"/>
    </row>
    <row r="61" ht="11.25">
      <c r="C61" s="4"/>
    </row>
    <row r="62" spans="3:4" ht="11.25">
      <c r="C62" s="4"/>
      <c r="D62" s="2"/>
    </row>
    <row r="63" ht="11.25">
      <c r="C63" s="4"/>
    </row>
    <row r="64" spans="3:4" ht="11.25">
      <c r="C64" s="4"/>
      <c r="D64" s="2"/>
    </row>
    <row r="65" ht="11.25">
      <c r="C65" s="4"/>
    </row>
    <row r="66" spans="3:4" ht="11.25">
      <c r="C66" s="4"/>
      <c r="D66" s="3"/>
    </row>
    <row r="67" spans="3:4" ht="11.25">
      <c r="C67" s="4"/>
      <c r="D67" s="3"/>
    </row>
    <row r="69" ht="11.25">
      <c r="C69" s="4"/>
    </row>
    <row r="70" spans="3:4" ht="11.25">
      <c r="C70" s="4"/>
      <c r="D70" s="3"/>
    </row>
    <row r="71" ht="11.25">
      <c r="C71" s="4"/>
    </row>
    <row r="72" spans="3:4" ht="11.25">
      <c r="C72" s="4"/>
      <c r="D72" s="3"/>
    </row>
    <row r="73" spans="3:4" ht="11.25">
      <c r="C73" s="4"/>
      <c r="D73" s="3"/>
    </row>
    <row r="74" spans="3:4" ht="11.25">
      <c r="C74" s="4"/>
      <c r="D74" s="3"/>
    </row>
    <row r="76" ht="11.25">
      <c r="C76" s="4"/>
    </row>
    <row r="77" spans="3:4" ht="11.25">
      <c r="C77" s="4"/>
      <c r="D77" s="3"/>
    </row>
    <row r="78" spans="3:4" ht="11.25">
      <c r="C78" s="4"/>
      <c r="D78" s="3"/>
    </row>
    <row r="79" spans="3:4" ht="11.25">
      <c r="C79" s="4"/>
      <c r="D79" s="3"/>
    </row>
    <row r="80" ht="11.25">
      <c r="D80" s="3"/>
    </row>
    <row r="81" spans="3:4" ht="11.25">
      <c r="C81" s="4"/>
      <c r="D81" s="3"/>
    </row>
    <row r="82" spans="3:10" ht="11.25">
      <c r="C82" s="4"/>
      <c r="D82" s="3"/>
      <c r="E82" s="3"/>
      <c r="F82" s="3"/>
      <c r="G82" s="3"/>
      <c r="H82" s="3"/>
      <c r="I82" s="3"/>
      <c r="J82" s="3"/>
    </row>
    <row r="83" spans="3:10" ht="11.25">
      <c r="C83" s="4"/>
      <c r="D83" s="1"/>
      <c r="E83" s="1"/>
      <c r="F83" s="1"/>
      <c r="G83" s="1"/>
      <c r="H83" s="1"/>
      <c r="I83" s="1"/>
      <c r="J83" s="1"/>
    </row>
    <row r="84" spans="3:10" ht="11.25">
      <c r="C84" s="4"/>
      <c r="D84" s="1"/>
      <c r="E84" s="1"/>
      <c r="F84" s="1"/>
      <c r="G84" s="1"/>
      <c r="H84" s="1"/>
      <c r="I84" s="1"/>
      <c r="J84" s="1"/>
    </row>
    <row r="85" spans="3:10" ht="11.25">
      <c r="C85" s="4"/>
      <c r="D85" s="3"/>
      <c r="E85" s="3"/>
      <c r="F85" s="3"/>
      <c r="G85" s="3"/>
      <c r="H85" s="3"/>
      <c r="I85" s="3"/>
      <c r="J85" s="3"/>
    </row>
    <row r="86" spans="3:10" ht="11.25">
      <c r="C86" s="4"/>
      <c r="D86" s="3"/>
      <c r="E86" s="3"/>
      <c r="F86" s="3"/>
      <c r="G86" s="3"/>
      <c r="H86" s="3"/>
      <c r="I86" s="3"/>
      <c r="J86" s="3"/>
    </row>
    <row r="87" spans="3:10" ht="11.25">
      <c r="C87" s="4"/>
      <c r="D87" s="3"/>
      <c r="E87" s="3"/>
      <c r="F87" s="3"/>
      <c r="G87" s="3"/>
      <c r="H87" s="3"/>
      <c r="I87" s="3"/>
      <c r="J87" s="3"/>
    </row>
    <row r="88" spans="3:10" ht="11.25">
      <c r="C88" s="4"/>
      <c r="D88" s="3"/>
      <c r="E88" s="3"/>
      <c r="F88" s="3"/>
      <c r="G88" s="3"/>
      <c r="H88" s="3"/>
      <c r="I88" s="3"/>
      <c r="J88" s="3"/>
    </row>
    <row r="89" spans="3:10" ht="11.25">
      <c r="C89" s="4"/>
      <c r="D89" s="3"/>
      <c r="E89" s="3"/>
      <c r="F89" s="3"/>
      <c r="G89" s="3"/>
      <c r="H89" s="3"/>
      <c r="I89" s="3"/>
      <c r="J89" s="3"/>
    </row>
    <row r="92" spans="3:4" ht="11.25">
      <c r="C92" s="4"/>
      <c r="D92" s="3"/>
    </row>
    <row r="93" spans="3:10" ht="11.25">
      <c r="C93" s="4"/>
      <c r="D93" s="3"/>
      <c r="E93" s="3"/>
      <c r="F93" s="3"/>
      <c r="G93" s="3"/>
      <c r="H93" s="3"/>
      <c r="I93" s="3"/>
      <c r="J93" s="3"/>
    </row>
    <row r="94" spans="3:10" ht="11.25">
      <c r="C94" s="4"/>
      <c r="D94" s="1"/>
      <c r="E94" s="1"/>
      <c r="F94" s="1"/>
      <c r="G94" s="1"/>
      <c r="H94" s="1"/>
      <c r="I94" s="1"/>
      <c r="J94" s="1"/>
    </row>
    <row r="95" spans="3:10" ht="11.25">
      <c r="C95" s="4"/>
      <c r="D95" s="1"/>
      <c r="E95" s="1"/>
      <c r="F95" s="1"/>
      <c r="G95" s="1"/>
      <c r="H95" s="1"/>
      <c r="I95" s="1"/>
      <c r="J95" s="1"/>
    </row>
    <row r="96" spans="3:10" ht="11.25">
      <c r="C96" s="4"/>
      <c r="D96" s="3"/>
      <c r="E96" s="3"/>
      <c r="F96" s="3"/>
      <c r="G96" s="3"/>
      <c r="H96" s="3"/>
      <c r="I96" s="3"/>
      <c r="J96" s="3"/>
    </row>
    <row r="97" spans="3:10" ht="11.25">
      <c r="C97" s="4"/>
      <c r="D97" s="3"/>
      <c r="E97" s="3"/>
      <c r="F97" s="3"/>
      <c r="G97" s="3"/>
      <c r="H97" s="3"/>
      <c r="I97" s="3"/>
      <c r="J97" s="3"/>
    </row>
    <row r="98" spans="3:10" ht="11.25">
      <c r="C98" s="4"/>
      <c r="D98" s="3"/>
      <c r="E98" s="3"/>
      <c r="F98" s="3"/>
      <c r="G98" s="3"/>
      <c r="H98" s="3"/>
      <c r="I98" s="3"/>
      <c r="J98" s="3"/>
    </row>
    <row r="99" spans="3:10" ht="11.25">
      <c r="C99" s="4"/>
      <c r="D99" s="3"/>
      <c r="E99" s="3"/>
      <c r="F99" s="3"/>
      <c r="G99" s="3"/>
      <c r="H99" s="3"/>
      <c r="I99" s="3"/>
      <c r="J99" s="3"/>
    </row>
    <row r="100" spans="3:10" ht="11.25">
      <c r="C100" s="4"/>
      <c r="D100" s="3"/>
      <c r="E100" s="3"/>
      <c r="F100" s="3"/>
      <c r="G100" s="3"/>
      <c r="H100" s="3"/>
      <c r="I100" s="3"/>
      <c r="J100" s="3"/>
    </row>
    <row r="102" spans="3:10" ht="11.25">
      <c r="C102" s="4"/>
      <c r="D102" s="3"/>
      <c r="E102" s="3"/>
      <c r="F102" s="3"/>
      <c r="G102" s="3"/>
      <c r="H102" s="3"/>
      <c r="I102" s="3"/>
      <c r="J102" s="3"/>
    </row>
    <row r="103" spans="4:10" ht="11.25">
      <c r="D103" s="3"/>
      <c r="E103" s="3"/>
      <c r="F103" s="3"/>
      <c r="G103" s="3"/>
      <c r="H103" s="3"/>
      <c r="I103" s="3"/>
      <c r="J103" s="3"/>
    </row>
  </sheetData>
  <mergeCells count="2">
    <mergeCell ref="D21:Q21"/>
    <mergeCell ref="M3:P3"/>
  </mergeCells>
  <conditionalFormatting sqref="C33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conditionalFormatting sqref="C41:Q41">
    <cfRule type="cellIs" priority="3" dxfId="0" operator="equal" stopIfTrue="1">
      <formula>0</formula>
    </cfRule>
    <cfRule type="cellIs" priority="4" dxfId="2" operator="equal" stopIfTrue="1">
      <formula>C$39</formula>
    </cfRule>
    <cfRule type="cellIs" priority="5" dxfId="1" operator="greaterThan" stopIfTrue="1">
      <formula>0</formula>
    </cfRule>
  </conditionalFormatting>
  <conditionalFormatting sqref="D28:Q28">
    <cfRule type="cellIs" priority="6" dxfId="0" operator="equal" stopIfTrue="1">
      <formula>0</formula>
    </cfRule>
    <cfRule type="cellIs" priority="7" dxfId="2" operator="equal" stopIfTrue="1">
      <formula>D$26</formula>
    </cfRule>
    <cfRule type="cellIs" priority="8" dxfId="1" operator="greaterThan" stopIfTrue="1">
      <formula>0</formula>
    </cfRule>
  </conditionalFormatting>
  <conditionalFormatting sqref="C42:Q42">
    <cfRule type="cellIs" priority="9" dxfId="0" operator="equal" stopIfTrue="1">
      <formula>0</formula>
    </cfRule>
    <cfRule type="cellIs" priority="10" dxfId="2" operator="equal" stopIfTrue="1">
      <formula>C$39-C$41</formula>
    </cfRule>
    <cfRule type="cellIs" priority="11" dxfId="1" operator="greaterThan" stopIfTrue="1">
      <formula>0</formula>
    </cfRule>
  </conditionalFormatting>
  <conditionalFormatting sqref="C43:Q43">
    <cfRule type="cellIs" priority="12" dxfId="0" operator="equal" stopIfTrue="1">
      <formula>0</formula>
    </cfRule>
    <cfRule type="cellIs" priority="13" dxfId="2" operator="equal" stopIfTrue="1">
      <formula>C$39-C$41-C$42</formula>
    </cfRule>
    <cfRule type="cellIs" priority="14" dxfId="1" operator="greaterThan" stopIfTrue="1">
      <formula>0</formula>
    </cfRule>
  </conditionalFormatting>
  <conditionalFormatting sqref="C44:Q44">
    <cfRule type="cellIs" priority="15" dxfId="0" operator="equal" stopIfTrue="1">
      <formula>0</formula>
    </cfRule>
    <cfRule type="cellIs" priority="16" dxfId="2" operator="equal" stopIfTrue="1">
      <formula>C$39-C$41-C$42-C$43</formula>
    </cfRule>
    <cfRule type="cellIs" priority="17" dxfId="1" operator="greaterThan" stopIfTrue="1">
      <formula>0</formula>
    </cfRule>
  </conditionalFormatting>
  <conditionalFormatting sqref="D29:Q29">
    <cfRule type="cellIs" priority="18" dxfId="0" operator="equal" stopIfTrue="1">
      <formula>0</formula>
    </cfRule>
    <cfRule type="cellIs" priority="19" dxfId="2" operator="equal" stopIfTrue="1">
      <formula>D$26-D$28</formula>
    </cfRule>
    <cfRule type="cellIs" priority="20" dxfId="1" operator="greaterThan" stopIfTrue="1">
      <formula>0</formula>
    </cfRule>
  </conditionalFormatting>
  <conditionalFormatting sqref="D30:Q30">
    <cfRule type="cellIs" priority="21" dxfId="0" operator="equal" stopIfTrue="1">
      <formula>0</formula>
    </cfRule>
    <cfRule type="cellIs" priority="22" dxfId="2" operator="equal" stopIfTrue="1">
      <formula>D$26-D$28-D$29</formula>
    </cfRule>
    <cfRule type="cellIs" priority="23" dxfId="1" operator="greaterThan" stopIfTrue="1">
      <formula>0</formula>
    </cfRule>
  </conditionalFormatting>
  <conditionalFormatting sqref="D31:Q31">
    <cfRule type="cellIs" priority="24" dxfId="0" operator="equal" stopIfTrue="1">
      <formula>0</formula>
    </cfRule>
    <cfRule type="cellIs" priority="25" dxfId="2" operator="equal" stopIfTrue="1">
      <formula>D$26-D$28-D$29-D$30</formula>
    </cfRule>
    <cfRule type="cellIs" priority="26" dxfId="1" operator="greaterThan" stopIfTrue="1">
      <formula>0</formula>
    </cfRule>
  </conditionalFormatting>
  <conditionalFormatting sqref="D33:Q33 C46:Q46 C56:Q56">
    <cfRule type="cellIs" priority="27" dxfId="0" operator="lessThan" stopIfTrue="1">
      <formula>0</formula>
    </cfRule>
  </conditionalFormatting>
  <hyperlinks>
    <hyperlink ref="A2" r:id="rId1" display="http://www.campertrailers.org/solar_spreadsheet.htm "/>
    <hyperlink ref="A2:E2" r:id="rId2" display="http://www.campertrailers.org/solar_spreadsheet.htm "/>
    <hyperlink ref="A2:F2" r:id="rId3" display="http://www.campertrailers.org/solar_spreadsheet.htm "/>
  </hyperlinks>
  <printOptions/>
  <pageMargins left="0.75" right="0.75" top="1" bottom="1" header="0.5" footer="0.5"/>
  <pageSetup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rkg</dc:creator>
  <cp:keywords/>
  <dc:description/>
  <cp:lastModifiedBy>Robert</cp:lastModifiedBy>
  <dcterms:created xsi:type="dcterms:W3CDTF">2007-01-18T03:01:39Z</dcterms:created>
  <dcterms:modified xsi:type="dcterms:W3CDTF">2013-06-07T08:23:36Z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